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lawtlh1\Desktop\202003 Committee on Assistance for Small Business Tenants\20201104 Repayment Schedule Calculator\for CCD\"/>
    </mc:Choice>
  </mc:AlternateContent>
  <xr:revisionPtr revIDLastSave="0" documentId="13_ncr:1_{EA4DD366-25AA-4C1D-A4BB-43C15BA83B8C}" xr6:coauthVersionLast="44" xr6:coauthVersionMax="44" xr10:uidLastSave="{00000000-0000-0000-0000-000000000000}"/>
  <bookViews>
    <workbookView xWindow="-120" yWindow="-120" windowWidth="29040" windowHeight="15060" xr2:uid="{00000000-000D-0000-FFFF-FFFF00000000}"/>
  </bookViews>
  <sheets>
    <sheet name="Repayment Schedule Calculator"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6" i="1" l="1"/>
  <c r="K6" i="1"/>
  <c r="H7" i="1"/>
  <c r="F7" i="1" s="1"/>
  <c r="H6" i="1"/>
  <c r="H10" i="1"/>
  <c r="H9" i="1"/>
  <c r="H8" i="1"/>
  <c r="F6" i="1"/>
  <c r="H11" i="1" l="1"/>
  <c r="H12" i="1"/>
  <c r="H13" i="1"/>
  <c r="H14" i="1"/>
  <c r="H15" i="1"/>
  <c r="C17" i="1"/>
  <c r="Q7" i="1"/>
  <c r="Q8" i="1"/>
  <c r="Q9" i="1"/>
  <c r="Q10" i="1"/>
  <c r="Q11" i="1"/>
  <c r="Q12" i="1"/>
  <c r="Q13" i="1"/>
  <c r="Q14" i="1"/>
  <c r="Q15" i="1"/>
  <c r="Q6" i="1"/>
  <c r="N7" i="1"/>
  <c r="N8" i="1"/>
  <c r="N9" i="1"/>
  <c r="N10" i="1"/>
  <c r="N11" i="1"/>
  <c r="N12" i="1"/>
  <c r="N13" i="1"/>
  <c r="N14" i="1"/>
  <c r="N15" i="1"/>
  <c r="K7" i="1"/>
  <c r="K8" i="1"/>
  <c r="K9" i="1"/>
  <c r="K10" i="1"/>
  <c r="K11" i="1"/>
  <c r="K12" i="1"/>
  <c r="K13" i="1"/>
  <c r="K14" i="1"/>
  <c r="K15" i="1"/>
  <c r="I13" i="1" l="1"/>
  <c r="J13" i="1" s="1"/>
  <c r="L15" i="1"/>
  <c r="M15" i="1" s="1"/>
  <c r="L7" i="1"/>
  <c r="M7" i="1" s="1"/>
  <c r="G6" i="1"/>
  <c r="F12" i="1"/>
  <c r="G12" i="1" s="1"/>
  <c r="I6" i="1"/>
  <c r="I12" i="1"/>
  <c r="J12" i="1" s="1"/>
  <c r="L14" i="1"/>
  <c r="M14" i="1" s="1"/>
  <c r="L10" i="1"/>
  <c r="M10" i="1" s="1"/>
  <c r="O12" i="1"/>
  <c r="F15" i="1"/>
  <c r="G7" i="1"/>
  <c r="I15" i="1"/>
  <c r="J15" i="1" s="1"/>
  <c r="I11" i="1"/>
  <c r="J11" i="1" s="1"/>
  <c r="I7" i="1"/>
  <c r="L13" i="1"/>
  <c r="M13" i="1" s="1"/>
  <c r="L9" i="1"/>
  <c r="M9" i="1" s="1"/>
  <c r="O15" i="1"/>
  <c r="O11" i="1"/>
  <c r="O7" i="1"/>
  <c r="F14" i="1"/>
  <c r="G14" i="1" s="1"/>
  <c r="F10" i="1"/>
  <c r="G10" i="1" s="1"/>
  <c r="I8" i="1"/>
  <c r="J8" i="1" s="1"/>
  <c r="I9" i="1"/>
  <c r="J9" i="1" s="1"/>
  <c r="L11" i="1"/>
  <c r="M11" i="1" s="1"/>
  <c r="O13" i="1"/>
  <c r="O9" i="1"/>
  <c r="F8" i="1"/>
  <c r="G8" i="1" s="1"/>
  <c r="O6" i="1"/>
  <c r="D6" i="1" s="1"/>
  <c r="O8" i="1"/>
  <c r="F11" i="1"/>
  <c r="G11" i="1" s="1"/>
  <c r="I14" i="1"/>
  <c r="J14" i="1" s="1"/>
  <c r="I10" i="1"/>
  <c r="J10" i="1" s="1"/>
  <c r="L6" i="1"/>
  <c r="M6" i="1" s="1"/>
  <c r="L12" i="1"/>
  <c r="M12" i="1" s="1"/>
  <c r="L8" i="1"/>
  <c r="M8" i="1" s="1"/>
  <c r="O14" i="1"/>
  <c r="O10" i="1"/>
  <c r="F13" i="1"/>
  <c r="G13" i="1" s="1"/>
  <c r="F9" i="1"/>
  <c r="G9" i="1" s="1"/>
  <c r="P6" i="1"/>
  <c r="P10" i="1" l="1"/>
  <c r="D10" i="1"/>
  <c r="P8" i="1"/>
  <c r="D8" i="1"/>
  <c r="P13" i="1"/>
  <c r="D13" i="1"/>
  <c r="P14" i="1"/>
  <c r="D14" i="1"/>
  <c r="P7" i="1"/>
  <c r="D7" i="1"/>
  <c r="P9" i="1"/>
  <c r="D9" i="1"/>
  <c r="P11" i="1"/>
  <c r="D11" i="1"/>
  <c r="P15" i="1"/>
  <c r="D15" i="1"/>
  <c r="P12" i="1"/>
  <c r="D12" i="1"/>
  <c r="J7" i="1"/>
  <c r="J6" i="1"/>
  <c r="G15" i="1"/>
  <c r="I17" i="1"/>
  <c r="O17" i="1"/>
  <c r="L17" i="1"/>
  <c r="F17" i="1"/>
  <c r="C23" i="1" l="1"/>
  <c r="C25" i="1" s="1"/>
  <c r="C29" i="1" s="1"/>
</calcChain>
</file>

<file path=xl/sharedStrings.xml><?xml version="1.0" encoding="utf-8"?>
<sst xmlns="http://schemas.openxmlformats.org/spreadsheetml/2006/main" count="24" uniqueCount="15">
  <si>
    <t>Calculator for monthly repayment instalment under the statutory repayment schedule</t>
  </si>
  <si>
    <r>
      <t>Number of occasions in a year that interest accrues on rental arrears under the PTO’s lease agreement, or (if this is not specified in the lease agreement) as agreed between the PTO and the PTO’s landlord
[</t>
    </r>
    <r>
      <rPr>
        <i/>
        <sz val="11"/>
        <color theme="1"/>
        <rFont val="Calibri"/>
        <family val="2"/>
        <scheme val="minor"/>
      </rPr>
      <t>For example:
- 12, if interest accrues on the rental arrears on a monthly basis
- 52, if interest accrues on the rental arrears on a weekly basis
- 365, if interest accrues on the rental arrears on a daily basis and is calculated based on 365 days
- 360, if interest accrues on the rental arrears on a daily basis and is calculated based on 360 days</t>
    </r>
    <r>
      <rPr>
        <sz val="11"/>
        <color theme="1"/>
        <rFont val="Calibri"/>
        <family val="2"/>
        <scheme val="minor"/>
      </rPr>
      <t>]</t>
    </r>
  </si>
  <si>
    <t>Total outstanding rent</t>
  </si>
  <si>
    <t>Periods accrued</t>
  </si>
  <si>
    <t>EIR</t>
  </si>
  <si>
    <r>
      <t xml:space="preserve">Total </t>
    </r>
    <r>
      <rPr>
        <u/>
        <sz val="11"/>
        <color theme="1"/>
        <rFont val="Calibri"/>
        <family val="2"/>
        <scheme val="minor"/>
      </rPr>
      <t xml:space="preserve">outstanding rent </t>
    </r>
    <r>
      <rPr>
        <sz val="11"/>
        <color theme="1"/>
        <rFont val="Calibri"/>
        <family val="2"/>
        <scheme val="minor"/>
      </rPr>
      <t xml:space="preserve">and </t>
    </r>
    <r>
      <rPr>
        <u/>
        <sz val="11"/>
        <color theme="1"/>
        <rFont val="Calibri"/>
        <family val="2"/>
        <scheme val="minor"/>
      </rPr>
      <t xml:space="preserve">interest charges </t>
    </r>
    <r>
      <rPr>
        <sz val="11"/>
        <color theme="1"/>
        <rFont val="Calibri"/>
        <family val="2"/>
        <scheme val="minor"/>
      </rPr>
      <t xml:space="preserve">that are payable on the outstanding rent as at the first day of the repayment schedule
</t>
    </r>
    <r>
      <rPr>
        <i/>
        <sz val="11"/>
        <color theme="1"/>
        <rFont val="Calibri"/>
        <family val="2"/>
        <scheme val="minor"/>
      </rPr>
      <t xml:space="preserve">
[Note: Interest and charges are subject to </t>
    </r>
    <r>
      <rPr>
        <b/>
        <i/>
        <sz val="11"/>
        <color theme="1"/>
        <rFont val="Calibri"/>
        <family val="2"/>
        <scheme val="minor"/>
      </rPr>
      <t>section 19P(2)(b)</t>
    </r>
    <r>
      <rPr>
        <i/>
        <sz val="11"/>
        <color theme="1"/>
        <rFont val="Calibri"/>
        <family val="2"/>
        <scheme val="minor"/>
      </rPr>
      <t xml:space="preserve"> of the </t>
    </r>
    <r>
      <rPr>
        <b/>
        <i/>
        <sz val="11"/>
        <color theme="1"/>
        <rFont val="Calibri"/>
        <family val="2"/>
        <scheme val="minor"/>
      </rPr>
      <t>COVID-19 (Temporary Measures) Act 2020</t>
    </r>
    <r>
      <rPr>
        <i/>
        <sz val="11"/>
        <color theme="1"/>
        <rFont val="Calibri"/>
        <family val="2"/>
        <scheme val="minor"/>
      </rPr>
      <t>]</t>
    </r>
    <r>
      <rPr>
        <sz val="11"/>
        <color theme="1"/>
        <rFont val="Calibri"/>
        <family val="2"/>
        <scheme val="minor"/>
      </rPr>
      <t xml:space="preserve">
</t>
    </r>
    <r>
      <rPr>
        <i/>
        <sz val="11"/>
        <color theme="1"/>
        <rFont val="Calibri"/>
        <family val="2"/>
        <scheme val="minor"/>
      </rPr>
      <t>[Note: Assumes repayment schedule starts on 1 Dec 2020]</t>
    </r>
  </si>
  <si>
    <r>
      <t xml:space="preserve">After </t>
    </r>
    <r>
      <rPr>
        <sz val="11"/>
        <color theme="1"/>
        <rFont val="Calibri"/>
        <family val="2"/>
        <scheme val="minor"/>
      </rPr>
      <t xml:space="preserve">taking into account rental waivers, the </t>
    </r>
    <r>
      <rPr>
        <u/>
        <sz val="11"/>
        <color theme="1"/>
        <rFont val="Calibri"/>
        <family val="2"/>
        <scheme val="minor"/>
      </rPr>
      <t xml:space="preserve">outstanding rent </t>
    </r>
    <r>
      <rPr>
        <sz val="11"/>
        <color theme="1"/>
        <rFont val="Calibri"/>
        <family val="2"/>
        <scheme val="minor"/>
      </rPr>
      <t>for the month of:</t>
    </r>
  </si>
  <si>
    <t>Accrued interest</t>
  </si>
  <si>
    <t>Highlighted yellow cells will be hidden in published version</t>
  </si>
  <si>
    <t>Accrued interest as at 1 Dec 2020</t>
  </si>
  <si>
    <r>
      <t xml:space="preserve">This calculator estimates the monthly repayment instalment under the </t>
    </r>
    <r>
      <rPr>
        <sz val="11"/>
        <rFont val="Calibri"/>
        <family val="2"/>
        <scheme val="minor"/>
      </rPr>
      <t>statutory</t>
    </r>
    <r>
      <rPr>
        <sz val="11"/>
        <color theme="1"/>
        <rFont val="Calibri"/>
        <family val="2"/>
        <scheme val="minor"/>
      </rPr>
      <t xml:space="preserve"> repayment schedule, as provided for in Regulation 40 of the COVID-19 (Temporary Measures) (Rental and Related Measures) Regulations 2020. 
The amount is estimated based on the values you have indicated. Please fill in the </t>
    </r>
    <r>
      <rPr>
        <b/>
        <u/>
        <sz val="11"/>
        <color rgb="FF00B050"/>
        <rFont val="Calibri"/>
        <family val="2"/>
        <scheme val="minor"/>
      </rPr>
      <t>GREEN</t>
    </r>
    <r>
      <rPr>
        <b/>
        <sz val="11"/>
        <color rgb="FF00B050"/>
        <rFont val="Calibri"/>
        <family val="2"/>
        <scheme val="minor"/>
      </rPr>
      <t xml:space="preserve"> </t>
    </r>
    <r>
      <rPr>
        <sz val="11"/>
        <color theme="1"/>
        <rFont val="Calibri"/>
        <family val="2"/>
        <scheme val="minor"/>
      </rPr>
      <t>cells.</t>
    </r>
  </si>
  <si>
    <r>
      <t xml:space="preserve">Estimated interest charges payable on outstanding rent as at the first day of the repayment schedule
</t>
    </r>
    <r>
      <rPr>
        <i/>
        <sz val="11"/>
        <color theme="1"/>
        <rFont val="Calibri"/>
        <family val="2"/>
        <scheme val="minor"/>
      </rPr>
      <t>[Note: Assumes repayment schedule starts on 1 Dec 2020]</t>
    </r>
  </si>
  <si>
    <r>
      <t xml:space="preserve">Monthly instalment payments
</t>
    </r>
    <r>
      <rPr>
        <i/>
        <sz val="11"/>
        <color theme="1"/>
        <rFont val="Calibri"/>
        <family val="2"/>
        <scheme val="minor"/>
      </rPr>
      <t>[Note: The monthly instalment payment is higher than if the total outstanding rent and interest charges were simply divided by the number of instalment payments because interest continues to accrue during the repayment period.]</t>
    </r>
  </si>
  <si>
    <r>
      <t xml:space="preserve">Contractual interest rate on a per annum basis (i.e. effective annual interest rate)
</t>
    </r>
    <r>
      <rPr>
        <i/>
        <sz val="11"/>
        <color theme="1"/>
        <rFont val="Calibri"/>
        <family val="2"/>
        <scheme val="minor"/>
      </rPr>
      <t xml:space="preserve">
[Note: If the contractual interest rate is higher than 3%</t>
    </r>
    <r>
      <rPr>
        <b/>
        <i/>
        <sz val="11"/>
        <color theme="1"/>
        <rFont val="Calibri"/>
        <family val="2"/>
        <scheme val="minor"/>
      </rPr>
      <t xml:space="preserve">, </t>
    </r>
    <r>
      <rPr>
        <i/>
        <sz val="11"/>
        <color theme="1"/>
        <rFont val="Calibri"/>
        <family val="2"/>
        <scheme val="minor"/>
      </rPr>
      <t xml:space="preserve">3% will be used for the repayment schedule instalments. Please refer to </t>
    </r>
    <r>
      <rPr>
        <b/>
        <i/>
        <sz val="11"/>
        <color theme="1"/>
        <rFont val="Calibri"/>
        <family val="2"/>
        <scheme val="minor"/>
      </rPr>
      <t>Section 19P(2)(b)(i) and (ii)</t>
    </r>
    <r>
      <rPr>
        <i/>
        <sz val="11"/>
        <color theme="1"/>
        <rFont val="Calibri"/>
        <family val="2"/>
        <scheme val="minor"/>
      </rPr>
      <t xml:space="preserve"> of the </t>
    </r>
    <r>
      <rPr>
        <b/>
        <i/>
        <sz val="11"/>
        <color theme="1"/>
        <rFont val="Calibri"/>
        <family val="2"/>
        <scheme val="minor"/>
      </rPr>
      <t>COVID-19 (Temporary Measures) Act 2020</t>
    </r>
    <r>
      <rPr>
        <i/>
        <sz val="11"/>
        <color theme="1"/>
        <rFont val="Calibri"/>
        <family val="2"/>
        <scheme val="minor"/>
      </rPr>
      <t xml:space="preserve">, and </t>
    </r>
    <r>
      <rPr>
        <b/>
        <i/>
        <sz val="11"/>
        <color theme="1"/>
        <rFont val="Calibri"/>
        <family val="2"/>
        <scheme val="minor"/>
      </rPr>
      <t xml:space="preserve">Regulation 40(6)(b)(i) and (ii) </t>
    </r>
    <r>
      <rPr>
        <i/>
        <sz val="11"/>
        <color theme="1"/>
        <rFont val="Calibri"/>
        <family val="2"/>
        <scheme val="minor"/>
      </rPr>
      <t xml:space="preserve">of the </t>
    </r>
    <r>
      <rPr>
        <b/>
        <i/>
        <sz val="11"/>
        <color theme="1"/>
        <rFont val="Calibri"/>
        <family val="2"/>
        <scheme val="minor"/>
      </rPr>
      <t>COVID-19 (Temporary Measures) (Rental and Related Measures) Regulations 2020</t>
    </r>
    <r>
      <rPr>
        <i/>
        <sz val="11"/>
        <color theme="1"/>
        <rFont val="Calibri"/>
        <family val="2"/>
        <scheme val="minor"/>
      </rPr>
      <t>]</t>
    </r>
  </si>
  <si>
    <r>
      <t xml:space="preserve">Total number of repayment instalments under the statutory repayment schedule.
</t>
    </r>
    <r>
      <rPr>
        <i/>
        <sz val="11"/>
        <color theme="1"/>
        <rFont val="Calibri"/>
        <family val="2"/>
        <scheme val="minor"/>
      </rPr>
      <t xml:space="preserve">[Note: Repayment instalments are to be made on a monthly basis for a maximum period that is the shorter of (i) 9 months; or (ii) the remaining period of the lease agreement. Please refer to </t>
    </r>
    <r>
      <rPr>
        <b/>
        <i/>
        <sz val="11"/>
        <color theme="1"/>
        <rFont val="Calibri"/>
        <family val="2"/>
        <scheme val="minor"/>
      </rPr>
      <t>Section 19P(2)(d)(i) and (ii)</t>
    </r>
    <r>
      <rPr>
        <i/>
        <sz val="11"/>
        <color theme="1"/>
        <rFont val="Calibri"/>
        <family val="2"/>
        <scheme val="minor"/>
      </rPr>
      <t xml:space="preserve"> of the </t>
    </r>
    <r>
      <rPr>
        <b/>
        <i/>
        <sz val="11"/>
        <color theme="1"/>
        <rFont val="Calibri"/>
        <family val="2"/>
        <scheme val="minor"/>
      </rPr>
      <t>COVID-19 (Temporary Measures) Act 2020</t>
    </r>
    <r>
      <rPr>
        <i/>
        <sz val="11"/>
        <color theme="1"/>
        <rFont val="Calibri"/>
        <family val="2"/>
        <scheme val="minor"/>
      </rPr>
      <t xml:space="preserve">, and </t>
    </r>
    <r>
      <rPr>
        <b/>
        <i/>
        <sz val="11"/>
        <color theme="1"/>
        <rFont val="Calibri"/>
        <family val="2"/>
        <scheme val="minor"/>
      </rPr>
      <t>Regulation 40(2)</t>
    </r>
    <r>
      <rPr>
        <i/>
        <sz val="11"/>
        <color theme="1"/>
        <rFont val="Calibri"/>
        <family val="2"/>
        <scheme val="minor"/>
      </rPr>
      <t xml:space="preserve"> of the </t>
    </r>
    <r>
      <rPr>
        <b/>
        <i/>
        <sz val="11"/>
        <color theme="1"/>
        <rFont val="Calibri"/>
        <family val="2"/>
        <scheme val="minor"/>
      </rPr>
      <t>COVID-19 (Temporary Measures) (Rental and Related Measures) Regulations 2020.</t>
    </r>
    <r>
      <rPr>
        <i/>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</si>
</sst>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_(&quot;$&quot;* #,##0_);_(&quot;$&quot;* \(#,##0\);_(&quot;$&quot;*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color rgb="FF00B050"/>
      <name val="Calibri"/>
      <family val="2"/>
      <scheme val="minor"/>
    </font>
    <font>
      <b/>
      <u/>
      <sz val="11"/>
      <color rgb="FF00B050"/>
      <name val="Calibri"/>
      <family val="2"/>
      <scheme val="minor"/>
    </font>
    <font>
      <b/>
      <sz val="11"/>
      <color rgb="FFFF0000"/>
      <name val="Calibri"/>
      <family val="2"/>
      <scheme val="minor"/>
    </font>
  </fonts>
  <fills count="7">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AB"/>
        <bgColor indexed="64"/>
      </patternFill>
    </fill>
    <fill>
      <patternFill patternType="solid">
        <fgColor theme="0" tint="-4.9989318521683403E-2"/>
        <bgColor indexed="64"/>
      </patternFill>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5">
    <xf numFmtId="0" fontId="0" fillId="0" borderId="0" xfId="0"/>
    <xf numFmtId="0" fontId="2" fillId="2" borderId="1" xfId="0" applyFont="1" applyFill="1" applyBorder="1" applyAlignment="1">
      <alignment wrapText="1"/>
    </xf>
    <xf numFmtId="0" fontId="0" fillId="0" borderId="0" xfId="0" applyAlignment="1">
      <alignment wrapText="1"/>
    </xf>
    <xf numFmtId="0" fontId="0" fillId="0" borderId="3" xfId="0" applyBorder="1" applyAlignment="1">
      <alignment wrapText="1"/>
    </xf>
    <xf numFmtId="0" fontId="0" fillId="3" borderId="3" xfId="0" applyFill="1" applyBorder="1"/>
    <xf numFmtId="164" fontId="0" fillId="3" borderId="3" xfId="1" applyNumberFormat="1" applyFont="1" applyFill="1" applyBorder="1"/>
    <xf numFmtId="9" fontId="0" fillId="3" borderId="3" xfId="2" applyFont="1" applyFill="1" applyBorder="1"/>
    <xf numFmtId="0" fontId="0" fillId="0" borderId="0" xfId="0" quotePrefix="1" applyAlignment="1">
      <alignment wrapText="1"/>
    </xf>
    <xf numFmtId="17" fontId="0" fillId="0" borderId="3" xfId="0" applyNumberFormat="1" applyBorder="1" applyAlignment="1">
      <alignment horizontal="left" wrapText="1"/>
    </xf>
    <xf numFmtId="0" fontId="0" fillId="0" borderId="5" xfId="0" applyBorder="1"/>
    <xf numFmtId="164" fontId="0" fillId="0" borderId="3" xfId="1" applyNumberFormat="1" applyFont="1" applyFill="1" applyBorder="1"/>
    <xf numFmtId="0" fontId="0" fillId="0" borderId="4" xfId="0" applyFont="1" applyBorder="1" applyAlignment="1">
      <alignment wrapText="1"/>
    </xf>
    <xf numFmtId="164" fontId="0" fillId="0" borderId="3" xfId="0" applyNumberFormat="1" applyFill="1" applyBorder="1"/>
    <xf numFmtId="1" fontId="7" fillId="5" borderId="3" xfId="0" applyNumberFormat="1" applyFont="1" applyFill="1" applyBorder="1" applyAlignment="1">
      <alignment horizontal="left" wrapText="1"/>
    </xf>
    <xf numFmtId="165" fontId="7" fillId="5" borderId="3" xfId="3" applyNumberFormat="1" applyFont="1" applyFill="1" applyBorder="1" applyAlignment="1">
      <alignment horizontal="left" wrapText="1"/>
    </xf>
    <xf numFmtId="15" fontId="7" fillId="5" borderId="0" xfId="0" applyNumberFormat="1" applyFont="1" applyFill="1"/>
    <xf numFmtId="164" fontId="7" fillId="5" borderId="3" xfId="0" applyNumberFormat="1" applyFont="1" applyFill="1" applyBorder="1"/>
    <xf numFmtId="10" fontId="7" fillId="5" borderId="3" xfId="2" applyNumberFormat="1" applyFont="1" applyFill="1" applyBorder="1"/>
    <xf numFmtId="165" fontId="7" fillId="5" borderId="3" xfId="3" applyNumberFormat="1" applyFont="1" applyFill="1" applyBorder="1"/>
    <xf numFmtId="0" fontId="7" fillId="5" borderId="0" xfId="0" applyFont="1" applyFill="1"/>
    <xf numFmtId="164" fontId="7" fillId="5" borderId="0" xfId="0" applyNumberFormat="1" applyFont="1" applyFill="1"/>
    <xf numFmtId="1" fontId="7" fillId="5" borderId="7" xfId="0" applyNumberFormat="1" applyFont="1" applyFill="1" applyBorder="1" applyAlignment="1">
      <alignment horizontal="left" wrapText="1"/>
    </xf>
    <xf numFmtId="0" fontId="0" fillId="6" borderId="2" xfId="0" applyFill="1" applyBorder="1" applyAlignment="1">
      <alignment vertical="top" wrapText="1"/>
    </xf>
    <xf numFmtId="0" fontId="5" fillId="4" borderId="6" xfId="0" applyFont="1" applyFill="1" applyBorder="1" applyAlignment="1">
      <alignment wrapText="1"/>
    </xf>
    <xf numFmtId="165" fontId="7" fillId="6" borderId="3" xfId="3" applyNumberFormat="1" applyFont="1" applyFill="1" applyBorder="1" applyAlignment="1">
      <alignment horizontal="left" wrapText="1"/>
    </xf>
    <xf numFmtId="164" fontId="5" fillId="0" borderId="3" xfId="1" applyNumberFormat="1" applyFont="1" applyFill="1" applyBorder="1"/>
    <xf numFmtId="164" fontId="5" fillId="0" borderId="3" xfId="0" applyNumberFormat="1" applyFont="1" applyFill="1" applyBorder="1"/>
    <xf numFmtId="0" fontId="10" fillId="0" borderId="0" xfId="0" applyFont="1" applyAlignment="1">
      <alignment wrapText="1"/>
    </xf>
    <xf numFmtId="166" fontId="0" fillId="0" borderId="0" xfId="0" applyNumberFormat="1"/>
    <xf numFmtId="10" fontId="0" fillId="0" borderId="0" xfId="2" applyNumberFormat="1" applyFont="1"/>
    <xf numFmtId="0" fontId="10" fillId="0" borderId="0" xfId="0" applyFont="1"/>
    <xf numFmtId="0" fontId="10" fillId="0" borderId="0" xfId="0" applyFont="1" applyAlignment="1"/>
    <xf numFmtId="15" fontId="7" fillId="5" borderId="3" xfId="0" applyNumberFormat="1" applyFont="1" applyFill="1" applyBorder="1"/>
    <xf numFmtId="0" fontId="0" fillId="0" borderId="3" xfId="0" applyBorder="1" applyAlignment="1">
      <alignment vertical="top" wrapText="1"/>
    </xf>
    <xf numFmtId="0" fontId="10" fillId="0" borderId="0" xfId="0" applyFont="1" applyAlignment="1">
      <alignment horizontal="left"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
  <sheetViews>
    <sheetView showGridLines="0" tabSelected="1" topLeftCell="A22" zoomScale="85" zoomScaleNormal="85" workbookViewId="0">
      <selection activeCell="S27" sqref="S27"/>
    </sheetView>
  </sheetViews>
  <sheetFormatPr defaultRowHeight="15" x14ac:dyDescent="0.25"/>
  <cols>
    <col min="1" max="1" width="13.140625" bestFit="1" customWidth="1"/>
    <col min="2" max="2" width="59.28515625" style="2" customWidth="1"/>
    <col min="3" max="3" width="13.42578125" customWidth="1"/>
    <col min="4" max="5" width="16.85546875" customWidth="1"/>
    <col min="6" max="6" width="13.85546875" hidden="1" customWidth="1"/>
    <col min="7" max="17" width="13.5703125" hidden="1" customWidth="1"/>
    <col min="18" max="18" width="0" hidden="1" customWidth="1"/>
  </cols>
  <sheetData>
    <row r="1" spans="2:17" ht="15.75" thickBot="1" x14ac:dyDescent="0.3"/>
    <row r="2" spans="2:17" ht="29.25" customHeight="1" thickBot="1" x14ac:dyDescent="0.3">
      <c r="B2" s="1" t="s">
        <v>0</v>
      </c>
    </row>
    <row r="3" spans="2:17" ht="105.75" thickBot="1" x14ac:dyDescent="0.3">
      <c r="B3" s="22" t="s">
        <v>10</v>
      </c>
      <c r="F3" s="23" t="s">
        <v>8</v>
      </c>
    </row>
    <row r="4" spans="2:17" ht="30" x14ac:dyDescent="0.25">
      <c r="C4" s="2"/>
      <c r="F4" s="21">
        <v>12</v>
      </c>
      <c r="G4" s="13"/>
      <c r="H4" s="14" t="s">
        <v>3</v>
      </c>
      <c r="I4" s="13">
        <v>52</v>
      </c>
      <c r="J4" s="13"/>
      <c r="K4" s="14" t="s">
        <v>3</v>
      </c>
      <c r="L4" s="13">
        <v>365</v>
      </c>
      <c r="M4" s="13"/>
      <c r="N4" s="14" t="s">
        <v>3</v>
      </c>
      <c r="O4" s="13">
        <v>360</v>
      </c>
      <c r="P4" s="13"/>
      <c r="Q4" s="14" t="s">
        <v>3</v>
      </c>
    </row>
    <row r="5" spans="2:17" ht="30" x14ac:dyDescent="0.25">
      <c r="B5" s="11" t="s">
        <v>6</v>
      </c>
      <c r="C5" s="9"/>
      <c r="D5" s="24" t="s">
        <v>9</v>
      </c>
      <c r="F5" s="14" t="s">
        <v>7</v>
      </c>
      <c r="G5" s="14" t="s">
        <v>4</v>
      </c>
      <c r="H5" s="15">
        <v>44166</v>
      </c>
      <c r="I5" s="14" t="s">
        <v>7</v>
      </c>
      <c r="J5" s="14" t="s">
        <v>4</v>
      </c>
      <c r="K5" s="15">
        <v>44166</v>
      </c>
      <c r="L5" s="14" t="s">
        <v>7</v>
      </c>
      <c r="M5" s="14" t="s">
        <v>4</v>
      </c>
      <c r="N5" s="15">
        <v>44166</v>
      </c>
      <c r="O5" s="14" t="s">
        <v>7</v>
      </c>
      <c r="P5" s="14" t="s">
        <v>4</v>
      </c>
      <c r="Q5" s="32">
        <v>44166</v>
      </c>
    </row>
    <row r="6" spans="2:17" x14ac:dyDescent="0.25">
      <c r="B6" s="8">
        <v>43862</v>
      </c>
      <c r="C6" s="5">
        <v>0</v>
      </c>
      <c r="D6" s="10">
        <f>HLOOKUP($C$21,$F$4:$Q$17,3,FALSE)</f>
        <v>0</v>
      </c>
      <c r="F6" s="16">
        <f>C6*(1+MIN($C$19,0.03))^(H6/$F$4)-C6</f>
        <v>0</v>
      </c>
      <c r="G6" s="17" t="e">
        <f t="shared" ref="G6:G15" si="0">((F6+C6)/C6)^($F$4/H6)</f>
        <v>#DIV/0!</v>
      </c>
      <c r="H6" s="18">
        <f>ROUND((($H$5-B6)/30),0)</f>
        <v>10</v>
      </c>
      <c r="I6" s="16">
        <f t="shared" ref="I6:I15" si="1">C6*(1+MIN($C$19,0.03))^(K6/$I$4)-C6</f>
        <v>0</v>
      </c>
      <c r="J6" s="17" t="e">
        <f t="shared" ref="J6:J15" si="2">((C6+I6)/C6)^($I$4/K6)-1</f>
        <v>#DIV/0!</v>
      </c>
      <c r="K6" s="18">
        <f>ROUND(($K$5-B6)/7,0)</f>
        <v>43</v>
      </c>
      <c r="L6" s="16">
        <f t="shared" ref="L6:L15" si="3">C6*(1+MIN($C$19,0.03))^(N6/$L$4)-C6</f>
        <v>0</v>
      </c>
      <c r="M6" s="17" t="e">
        <f t="shared" ref="M6:M15" si="4">((C6+L6)/C6)^($L$4/N6)-1</f>
        <v>#DIV/0!</v>
      </c>
      <c r="N6" s="18">
        <f>$N$5-B6</f>
        <v>304</v>
      </c>
      <c r="O6" s="16">
        <f t="shared" ref="O6:O15" si="5">C6*(1+MIN($C$19,0.03))^(Q6/$O$4)-C6</f>
        <v>0</v>
      </c>
      <c r="P6" s="17" t="e">
        <f t="shared" ref="P6:P15" si="6">((C6+O6)/C6)^($O$4/Q6)-1</f>
        <v>#DIV/0!</v>
      </c>
      <c r="Q6" s="18">
        <f t="shared" ref="Q6:Q15" si="7">$Q$5-B6</f>
        <v>304</v>
      </c>
    </row>
    <row r="7" spans="2:17" x14ac:dyDescent="0.25">
      <c r="B7" s="8">
        <v>43891</v>
      </c>
      <c r="C7" s="5">
        <v>0</v>
      </c>
      <c r="D7" s="10">
        <f>HLOOKUP($C$21,$F$4:$Q$17,4,FALSE)</f>
        <v>0</v>
      </c>
      <c r="F7" s="16">
        <f>C7*(1+MIN($C$19,0.03))^(H7/$F$4)-C7</f>
        <v>0</v>
      </c>
      <c r="G7" s="17" t="e">
        <f t="shared" si="0"/>
        <v>#DIV/0!</v>
      </c>
      <c r="H7" s="18">
        <f>ROUND((($H$5-B7)/30),0)</f>
        <v>9</v>
      </c>
      <c r="I7" s="16">
        <f t="shared" si="1"/>
        <v>0</v>
      </c>
      <c r="J7" s="17" t="e">
        <f t="shared" si="2"/>
        <v>#DIV/0!</v>
      </c>
      <c r="K7" s="18">
        <f t="shared" ref="K7:K15" si="8">ROUND(($K$5-B7)/7,0)</f>
        <v>39</v>
      </c>
      <c r="L7" s="16">
        <f t="shared" si="3"/>
        <v>0</v>
      </c>
      <c r="M7" s="17" t="e">
        <f t="shared" si="4"/>
        <v>#DIV/0!</v>
      </c>
      <c r="N7" s="18">
        <f t="shared" ref="N7:N15" si="9">$N$5-B7</f>
        <v>275</v>
      </c>
      <c r="O7" s="16">
        <f t="shared" si="5"/>
        <v>0</v>
      </c>
      <c r="P7" s="17" t="e">
        <f t="shared" si="6"/>
        <v>#DIV/0!</v>
      </c>
      <c r="Q7" s="18">
        <f t="shared" si="7"/>
        <v>275</v>
      </c>
    </row>
    <row r="8" spans="2:17" x14ac:dyDescent="0.25">
      <c r="B8" s="8">
        <v>43922</v>
      </c>
      <c r="C8" s="5">
        <v>0</v>
      </c>
      <c r="D8" s="10">
        <f>HLOOKUP($C$21,$F$4:$Q$17,5,FALSE)</f>
        <v>0</v>
      </c>
      <c r="F8" s="16">
        <f t="shared" ref="F8:F15" si="10">C8*(1+MIN($C$19,0.03))^(H8/$F$4)-C8</f>
        <v>0</v>
      </c>
      <c r="G8" s="17" t="e">
        <f t="shared" si="0"/>
        <v>#DIV/0!</v>
      </c>
      <c r="H8" s="18">
        <f>ROUND((($H$5-B8)/30),0)</f>
        <v>8</v>
      </c>
      <c r="I8" s="16">
        <f t="shared" si="1"/>
        <v>0</v>
      </c>
      <c r="J8" s="17" t="e">
        <f t="shared" si="2"/>
        <v>#DIV/0!</v>
      </c>
      <c r="K8" s="18">
        <f t="shared" si="8"/>
        <v>35</v>
      </c>
      <c r="L8" s="16">
        <f t="shared" si="3"/>
        <v>0</v>
      </c>
      <c r="M8" s="17" t="e">
        <f t="shared" si="4"/>
        <v>#DIV/0!</v>
      </c>
      <c r="N8" s="18">
        <f t="shared" si="9"/>
        <v>244</v>
      </c>
      <c r="O8" s="16">
        <f t="shared" si="5"/>
        <v>0</v>
      </c>
      <c r="P8" s="17" t="e">
        <f t="shared" si="6"/>
        <v>#DIV/0!</v>
      </c>
      <c r="Q8" s="18">
        <f t="shared" si="7"/>
        <v>244</v>
      </c>
    </row>
    <row r="9" spans="2:17" x14ac:dyDescent="0.25">
      <c r="B9" s="8">
        <v>43952</v>
      </c>
      <c r="C9" s="5">
        <v>0</v>
      </c>
      <c r="D9" s="10">
        <f>HLOOKUP($C$21,$F$4:$Q$17,6,FALSE)</f>
        <v>0</v>
      </c>
      <c r="F9" s="16">
        <f t="shared" si="10"/>
        <v>0</v>
      </c>
      <c r="G9" s="17" t="e">
        <f t="shared" si="0"/>
        <v>#DIV/0!</v>
      </c>
      <c r="H9" s="18">
        <f>ROUND((($H$5-B9)/30),0)</f>
        <v>7</v>
      </c>
      <c r="I9" s="16">
        <f t="shared" si="1"/>
        <v>0</v>
      </c>
      <c r="J9" s="17" t="e">
        <f t="shared" si="2"/>
        <v>#DIV/0!</v>
      </c>
      <c r="K9" s="18">
        <f t="shared" si="8"/>
        <v>31</v>
      </c>
      <c r="L9" s="16">
        <f t="shared" si="3"/>
        <v>0</v>
      </c>
      <c r="M9" s="17" t="e">
        <f t="shared" si="4"/>
        <v>#DIV/0!</v>
      </c>
      <c r="N9" s="18">
        <f t="shared" si="9"/>
        <v>214</v>
      </c>
      <c r="O9" s="16">
        <f t="shared" si="5"/>
        <v>0</v>
      </c>
      <c r="P9" s="17" t="e">
        <f t="shared" si="6"/>
        <v>#DIV/0!</v>
      </c>
      <c r="Q9" s="18">
        <f t="shared" si="7"/>
        <v>214</v>
      </c>
    </row>
    <row r="10" spans="2:17" x14ac:dyDescent="0.25">
      <c r="B10" s="8">
        <v>43983</v>
      </c>
      <c r="C10" s="5">
        <v>0</v>
      </c>
      <c r="D10" s="10">
        <f>HLOOKUP($C$21,$F$4:$Q$17,7,FALSE)</f>
        <v>0</v>
      </c>
      <c r="F10" s="16">
        <f t="shared" si="10"/>
        <v>0</v>
      </c>
      <c r="G10" s="17" t="e">
        <f t="shared" si="0"/>
        <v>#DIV/0!</v>
      </c>
      <c r="H10" s="18">
        <f>ROUND((($H$5-B10)/30),0)</f>
        <v>6</v>
      </c>
      <c r="I10" s="16">
        <f t="shared" si="1"/>
        <v>0</v>
      </c>
      <c r="J10" s="17" t="e">
        <f t="shared" si="2"/>
        <v>#DIV/0!</v>
      </c>
      <c r="K10" s="18">
        <f t="shared" si="8"/>
        <v>26</v>
      </c>
      <c r="L10" s="16">
        <f t="shared" si="3"/>
        <v>0</v>
      </c>
      <c r="M10" s="17" t="e">
        <f t="shared" si="4"/>
        <v>#DIV/0!</v>
      </c>
      <c r="N10" s="18">
        <f t="shared" si="9"/>
        <v>183</v>
      </c>
      <c r="O10" s="16">
        <f t="shared" si="5"/>
        <v>0</v>
      </c>
      <c r="P10" s="17" t="e">
        <f t="shared" si="6"/>
        <v>#DIV/0!</v>
      </c>
      <c r="Q10" s="18">
        <f t="shared" si="7"/>
        <v>183</v>
      </c>
    </row>
    <row r="11" spans="2:17" x14ac:dyDescent="0.25">
      <c r="B11" s="8">
        <v>44013</v>
      </c>
      <c r="C11" s="5">
        <v>0</v>
      </c>
      <c r="D11" s="10">
        <f>HLOOKUP($C$21,$F$4:$Q$17,8,FALSE)</f>
        <v>0</v>
      </c>
      <c r="F11" s="16">
        <f t="shared" si="10"/>
        <v>0</v>
      </c>
      <c r="G11" s="17" t="e">
        <f t="shared" si="0"/>
        <v>#DIV/0!</v>
      </c>
      <c r="H11" s="18">
        <f t="shared" ref="H11:H15" si="11">ROUND((($H$5-B11)/30),0)</f>
        <v>5</v>
      </c>
      <c r="I11" s="16">
        <f t="shared" si="1"/>
        <v>0</v>
      </c>
      <c r="J11" s="17" t="e">
        <f t="shared" si="2"/>
        <v>#DIV/0!</v>
      </c>
      <c r="K11" s="18">
        <f t="shared" si="8"/>
        <v>22</v>
      </c>
      <c r="L11" s="16">
        <f t="shared" si="3"/>
        <v>0</v>
      </c>
      <c r="M11" s="17" t="e">
        <f t="shared" si="4"/>
        <v>#DIV/0!</v>
      </c>
      <c r="N11" s="18">
        <f t="shared" si="9"/>
        <v>153</v>
      </c>
      <c r="O11" s="16">
        <f t="shared" si="5"/>
        <v>0</v>
      </c>
      <c r="P11" s="17" t="e">
        <f t="shared" si="6"/>
        <v>#DIV/0!</v>
      </c>
      <c r="Q11" s="18">
        <f t="shared" si="7"/>
        <v>153</v>
      </c>
    </row>
    <row r="12" spans="2:17" x14ac:dyDescent="0.25">
      <c r="B12" s="8">
        <v>44044</v>
      </c>
      <c r="C12" s="5">
        <v>0</v>
      </c>
      <c r="D12" s="10">
        <f>HLOOKUP($C$21,$F$4:$Q$17,9,FALSE)</f>
        <v>0</v>
      </c>
      <c r="F12" s="16">
        <f t="shared" si="10"/>
        <v>0</v>
      </c>
      <c r="G12" s="17" t="e">
        <f t="shared" si="0"/>
        <v>#DIV/0!</v>
      </c>
      <c r="H12" s="18">
        <f t="shared" si="11"/>
        <v>4</v>
      </c>
      <c r="I12" s="16">
        <f t="shared" si="1"/>
        <v>0</v>
      </c>
      <c r="J12" s="17" t="e">
        <f t="shared" si="2"/>
        <v>#DIV/0!</v>
      </c>
      <c r="K12" s="18">
        <f t="shared" si="8"/>
        <v>17</v>
      </c>
      <c r="L12" s="16">
        <f t="shared" si="3"/>
        <v>0</v>
      </c>
      <c r="M12" s="17" t="e">
        <f t="shared" si="4"/>
        <v>#DIV/0!</v>
      </c>
      <c r="N12" s="18">
        <f t="shared" si="9"/>
        <v>122</v>
      </c>
      <c r="O12" s="16">
        <f t="shared" si="5"/>
        <v>0</v>
      </c>
      <c r="P12" s="17" t="e">
        <f t="shared" si="6"/>
        <v>#DIV/0!</v>
      </c>
      <c r="Q12" s="18">
        <f t="shared" si="7"/>
        <v>122</v>
      </c>
    </row>
    <row r="13" spans="2:17" x14ac:dyDescent="0.25">
      <c r="B13" s="8">
        <v>44075</v>
      </c>
      <c r="C13" s="5">
        <v>0</v>
      </c>
      <c r="D13" s="10">
        <f>HLOOKUP($C$21,$F$4:$Q$17,10,FALSE)</f>
        <v>0</v>
      </c>
      <c r="F13" s="16">
        <f t="shared" si="10"/>
        <v>0</v>
      </c>
      <c r="G13" s="17" t="e">
        <f t="shared" si="0"/>
        <v>#DIV/0!</v>
      </c>
      <c r="H13" s="18">
        <f t="shared" si="11"/>
        <v>3</v>
      </c>
      <c r="I13" s="16">
        <f t="shared" si="1"/>
        <v>0</v>
      </c>
      <c r="J13" s="17" t="e">
        <f t="shared" si="2"/>
        <v>#DIV/0!</v>
      </c>
      <c r="K13" s="18">
        <f t="shared" si="8"/>
        <v>13</v>
      </c>
      <c r="L13" s="16">
        <f t="shared" si="3"/>
        <v>0</v>
      </c>
      <c r="M13" s="17" t="e">
        <f t="shared" si="4"/>
        <v>#DIV/0!</v>
      </c>
      <c r="N13" s="18">
        <f t="shared" si="9"/>
        <v>91</v>
      </c>
      <c r="O13" s="16">
        <f t="shared" si="5"/>
        <v>0</v>
      </c>
      <c r="P13" s="17" t="e">
        <f t="shared" si="6"/>
        <v>#DIV/0!</v>
      </c>
      <c r="Q13" s="18">
        <f t="shared" si="7"/>
        <v>91</v>
      </c>
    </row>
    <row r="14" spans="2:17" x14ac:dyDescent="0.25">
      <c r="B14" s="8">
        <v>44105</v>
      </c>
      <c r="C14" s="5">
        <v>0</v>
      </c>
      <c r="D14" s="10">
        <f>HLOOKUP($C$21,$F$4:$Q$17,11,FALSE)</f>
        <v>0</v>
      </c>
      <c r="F14" s="16">
        <f t="shared" si="10"/>
        <v>0</v>
      </c>
      <c r="G14" s="17" t="e">
        <f t="shared" si="0"/>
        <v>#DIV/0!</v>
      </c>
      <c r="H14" s="18">
        <f t="shared" si="11"/>
        <v>2</v>
      </c>
      <c r="I14" s="16">
        <f t="shared" si="1"/>
        <v>0</v>
      </c>
      <c r="J14" s="17" t="e">
        <f t="shared" si="2"/>
        <v>#DIV/0!</v>
      </c>
      <c r="K14" s="18">
        <f t="shared" si="8"/>
        <v>9</v>
      </c>
      <c r="L14" s="16">
        <f t="shared" si="3"/>
        <v>0</v>
      </c>
      <c r="M14" s="17" t="e">
        <f t="shared" si="4"/>
        <v>#DIV/0!</v>
      </c>
      <c r="N14" s="18">
        <f t="shared" si="9"/>
        <v>61</v>
      </c>
      <c r="O14" s="16">
        <f t="shared" si="5"/>
        <v>0</v>
      </c>
      <c r="P14" s="17" t="e">
        <f t="shared" si="6"/>
        <v>#DIV/0!</v>
      </c>
      <c r="Q14" s="18">
        <f t="shared" si="7"/>
        <v>61</v>
      </c>
    </row>
    <row r="15" spans="2:17" x14ac:dyDescent="0.25">
      <c r="B15" s="8">
        <v>44136</v>
      </c>
      <c r="C15" s="5">
        <v>0</v>
      </c>
      <c r="D15" s="10">
        <f>HLOOKUP($C$21,$F$4:$Q$17,12,FALSE)</f>
        <v>0</v>
      </c>
      <c r="F15" s="16">
        <f t="shared" si="10"/>
        <v>0</v>
      </c>
      <c r="G15" s="17" t="e">
        <f t="shared" si="0"/>
        <v>#DIV/0!</v>
      </c>
      <c r="H15" s="18">
        <f t="shared" si="11"/>
        <v>1</v>
      </c>
      <c r="I15" s="16">
        <f t="shared" si="1"/>
        <v>0</v>
      </c>
      <c r="J15" s="17" t="e">
        <f t="shared" si="2"/>
        <v>#DIV/0!</v>
      </c>
      <c r="K15" s="18">
        <f t="shared" si="8"/>
        <v>4</v>
      </c>
      <c r="L15" s="16">
        <f t="shared" si="3"/>
        <v>0</v>
      </c>
      <c r="M15" s="17" t="e">
        <f t="shared" si="4"/>
        <v>#DIV/0!</v>
      </c>
      <c r="N15" s="18">
        <f t="shared" si="9"/>
        <v>30</v>
      </c>
      <c r="O15" s="16">
        <f t="shared" si="5"/>
        <v>0</v>
      </c>
      <c r="P15" s="17" t="e">
        <f t="shared" si="6"/>
        <v>#DIV/0!</v>
      </c>
      <c r="Q15" s="18">
        <f t="shared" si="7"/>
        <v>30</v>
      </c>
    </row>
    <row r="16" spans="2:17" x14ac:dyDescent="0.25">
      <c r="F16" s="19"/>
      <c r="G16" s="19"/>
      <c r="H16" s="19"/>
      <c r="I16" s="19"/>
      <c r="J16" s="19"/>
      <c r="K16" s="19"/>
      <c r="L16" s="19"/>
      <c r="M16" s="19"/>
      <c r="N16" s="19"/>
      <c r="O16" s="19"/>
      <c r="P16" s="19"/>
      <c r="Q16" s="19"/>
    </row>
    <row r="17" spans="1:17" x14ac:dyDescent="0.25">
      <c r="B17" s="8" t="s">
        <v>2</v>
      </c>
      <c r="C17" s="25">
        <f>SUM(C6:C15)</f>
        <v>0</v>
      </c>
      <c r="F17" s="20">
        <f>SUM(F6:F15)</f>
        <v>0</v>
      </c>
      <c r="G17" s="19"/>
      <c r="H17" s="19"/>
      <c r="I17" s="20">
        <f>SUM(I6:I15)</f>
        <v>0</v>
      </c>
      <c r="J17" s="19"/>
      <c r="K17" s="19"/>
      <c r="L17" s="20">
        <f>SUM(L6:L15)</f>
        <v>0</v>
      </c>
      <c r="M17" s="19"/>
      <c r="N17" s="19"/>
      <c r="O17" s="20">
        <f>SUM(O6:O15)</f>
        <v>0</v>
      </c>
      <c r="P17" s="19"/>
      <c r="Q17" s="19"/>
    </row>
    <row r="19" spans="1:17" ht="135" x14ac:dyDescent="0.25">
      <c r="B19" s="33" t="s">
        <v>13</v>
      </c>
      <c r="C19" s="6">
        <v>0.03</v>
      </c>
      <c r="D19" s="27"/>
      <c r="F19" s="29"/>
    </row>
    <row r="21" spans="1:17" ht="180" customHeight="1" x14ac:dyDescent="0.25">
      <c r="B21" s="3" t="s">
        <v>1</v>
      </c>
      <c r="C21" s="4">
        <v>12</v>
      </c>
      <c r="D21" s="27"/>
      <c r="E21" s="34"/>
      <c r="F21" s="34"/>
    </row>
    <row r="23" spans="1:17" ht="60" x14ac:dyDescent="0.25">
      <c r="B23" s="3" t="s">
        <v>11</v>
      </c>
      <c r="C23" s="26">
        <f>SUM(D6:D15)</f>
        <v>0</v>
      </c>
    </row>
    <row r="25" spans="1:17" ht="105" x14ac:dyDescent="0.25">
      <c r="A25" s="7"/>
      <c r="B25" s="3" t="s">
        <v>5</v>
      </c>
      <c r="C25" s="26">
        <f>C23+C17</f>
        <v>0</v>
      </c>
    </row>
    <row r="27" spans="1:17" ht="150" x14ac:dyDescent="0.25">
      <c r="B27" s="33" t="s">
        <v>14</v>
      </c>
      <c r="C27" s="4">
        <v>9</v>
      </c>
      <c r="D27" s="30"/>
    </row>
    <row r="29" spans="1:17" ht="90" x14ac:dyDescent="0.25">
      <c r="B29" s="3" t="s">
        <v>12</v>
      </c>
      <c r="C29" s="12">
        <f>(C25*(MIN(C19,0.03)*(1/C21))*((1+(MIN(C19,0.03)*(1/C21)))^C27))/(((1+(MIN(C19,0.03)*(1/C21)))^C27)-1)</f>
        <v>0</v>
      </c>
    </row>
    <row r="30" spans="1:17" x14ac:dyDescent="0.25">
      <c r="C30" s="31"/>
    </row>
    <row r="31" spans="1:17" x14ac:dyDescent="0.25">
      <c r="C31" s="28"/>
    </row>
    <row r="32" spans="1:17" x14ac:dyDescent="0.25">
      <c r="C32" s="28"/>
    </row>
  </sheetData>
  <mergeCells count="1">
    <mergeCell ref="E21:F21"/>
  </mergeCells>
  <dataValidations count="2">
    <dataValidation type="list" allowBlank="1" showInputMessage="1" showErrorMessage="1" sqref="C21" xr:uid="{00000000-0002-0000-0000-000000000000}">
      <formula1>"12, 52, 365, 360"</formula1>
    </dataValidation>
    <dataValidation type="list" allowBlank="1" showInputMessage="1" showErrorMessage="1" sqref="C27" xr:uid="{04690771-70F7-43EE-858E-3A636ADA1ED7}">
      <formula1>"1, 2, 3, 4, 5, 6, 7, 8, 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Repayment Schedule Calculator</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MLAW</cp:lastModifiedBy>
  <dcterms:created xsi:type="dcterms:W3CDTF">2020-08-12T08:59:13Z</dcterms:created>
  <dcterms:modified xsi:type="dcterms:W3CDTF">2020-11-09T01:08:31Z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TENG_Lee_Hong@mlaw.gov.sg</vt:lpwstr>
  </property>
  <property fmtid="{D5CDD505-2E9C-101B-9397-08002B2CF9AE}" pid="5" name="MSIP_Label_3f9331f7-95a2-472a-92bc-d73219eb516b_SetDate">
    <vt:lpwstr>2020-08-12T09:57:16.8697276Z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a4a7c381-8018-43a3-825d-77dc3a4d68d1</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TENG_Lee_Hong@mlaw.gov.sg</vt:lpwstr>
  </property>
  <property fmtid="{D5CDD505-2E9C-101B-9397-08002B2CF9AE}" pid="13" name="MSIP_Label_4f288355-fb4c-44cd-b9ca-40cfc2aee5f8_SetDate">
    <vt:lpwstr>2020-08-12T09:57:16.8697276Z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a4a7c381-8018-43a3-825d-77dc3a4d68d1</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